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laurajennings/Downloads/"/>
    </mc:Choice>
  </mc:AlternateContent>
  <xr:revisionPtr revIDLastSave="0" documentId="8_{FDACAD63-84E1-FD4C-905F-32A73C66A8DB}" xr6:coauthVersionLast="47" xr6:coauthVersionMax="47" xr10:uidLastSave="{00000000-0000-0000-0000-000000000000}"/>
  <bookViews>
    <workbookView xWindow="380" yWindow="500" windowWidth="38020" windowHeight="19580" xr2:uid="{0D0407B0-6060-684C-A346-FC5E4409314D}"/>
  </bookViews>
  <sheets>
    <sheet name="Interactive Model" sheetId="3" r:id="rId1"/>
    <sheet name="Carlanco Case Study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4" l="1"/>
  <c r="D7" i="4"/>
  <c r="D34" i="4"/>
  <c r="D26" i="4"/>
  <c r="D36" i="4" s="1"/>
  <c r="D25" i="4"/>
  <c r="D35" i="4" s="1"/>
  <c r="D24" i="4"/>
  <c r="D29" i="4" s="1"/>
  <c r="D23" i="4"/>
  <c r="D19" i="4"/>
  <c r="D34" i="3"/>
  <c r="D39" i="3" s="1"/>
  <c r="D26" i="3"/>
  <c r="D31" i="3" s="1"/>
  <c r="D25" i="3"/>
  <c r="D30" i="3" s="1"/>
  <c r="D24" i="3"/>
  <c r="D29" i="3" s="1"/>
  <c r="D23" i="3"/>
  <c r="D19" i="3"/>
  <c r="G24" i="3" l="1"/>
  <c r="G34" i="3" s="1"/>
  <c r="G39" i="3" s="1"/>
  <c r="G25" i="4"/>
  <c r="D40" i="4"/>
  <c r="G26" i="4"/>
  <c r="D41" i="4"/>
  <c r="D33" i="4"/>
  <c r="D39" i="4"/>
  <c r="G24" i="4"/>
  <c r="D30" i="4"/>
  <c r="D31" i="4"/>
  <c r="D35" i="3"/>
  <c r="D36" i="3"/>
  <c r="G26" i="3" s="1"/>
  <c r="G36" i="3" s="1"/>
  <c r="G41" i="3" s="1"/>
  <c r="D28" i="3"/>
  <c r="G29" i="3" l="1"/>
  <c r="D40" i="3"/>
  <c r="G25" i="3"/>
  <c r="G31" i="3"/>
  <c r="G23" i="3"/>
  <c r="D28" i="4"/>
  <c r="G36" i="4"/>
  <c r="G41" i="4" s="1"/>
  <c r="G38" i="4" s="1"/>
  <c r="G43" i="4" s="1"/>
  <c r="G31" i="4"/>
  <c r="G35" i="4"/>
  <c r="G40" i="4" s="1"/>
  <c r="G30" i="4"/>
  <c r="G23" i="4"/>
  <c r="G34" i="4"/>
  <c r="G29" i="4"/>
  <c r="D38" i="4"/>
  <c r="D43" i="4" s="1"/>
  <c r="D33" i="3"/>
  <c r="D41" i="3"/>
  <c r="D38" i="3" s="1"/>
  <c r="D43" i="3" s="1"/>
  <c r="G30" i="3" l="1"/>
  <c r="G28" i="3" s="1"/>
  <c r="G35" i="3"/>
  <c r="G28" i="4"/>
  <c r="G33" i="4"/>
  <c r="G39" i="4"/>
  <c r="G40" i="3" l="1"/>
  <c r="G33" i="3"/>
  <c r="G38" i="3" s="1"/>
  <c r="G43" i="3" s="1"/>
</calcChain>
</file>

<file path=xl/sharedStrings.xml><?xml version="1.0" encoding="utf-8"?>
<sst xmlns="http://schemas.openxmlformats.org/spreadsheetml/2006/main" count="156" uniqueCount="57">
  <si>
    <t>Number of reports generated per year</t>
  </si>
  <si>
    <t>Number of frontline contributors</t>
  </si>
  <si>
    <t>Estimated average annual salary of contributors</t>
  </si>
  <si>
    <t>Number of managers receiving reports</t>
  </si>
  <si>
    <t>Estimated annual salary of managers</t>
  </si>
  <si>
    <t>Number of executives receiving reports</t>
  </si>
  <si>
    <t>Number of hours per report spent by contributors</t>
  </si>
  <si>
    <t>Number of hours per report spent by each manager</t>
  </si>
  <si>
    <t>Number of hours per report spent by each executive</t>
  </si>
  <si>
    <t>Report Generators</t>
  </si>
  <si>
    <t>First-line Managers</t>
  </si>
  <si>
    <t>Estimated annual salary of executives</t>
  </si>
  <si>
    <t>Executives</t>
  </si>
  <si>
    <t>Hours or fractions of hours (90 min = 1.5)</t>
  </si>
  <si>
    <t>Number of employees writing reports</t>
  </si>
  <si>
    <t>Number of managers</t>
  </si>
  <si>
    <t>Estimate in $</t>
  </si>
  <si>
    <t>Number of execs</t>
  </si>
  <si>
    <t>Annual revenue</t>
  </si>
  <si>
    <t>Annual Net Earnings (EBITDA)</t>
  </si>
  <si>
    <t>$ revenue past fiscal year</t>
  </si>
  <si>
    <t>$ EBITDA last fiscal year</t>
  </si>
  <si>
    <t xml:space="preserve">EBITDA % </t>
  </si>
  <si>
    <t>% EBITDA last fiscal year</t>
  </si>
  <si>
    <t>% of time contributors spend on revenue-generating activities</t>
  </si>
  <si>
    <t>% of time managers spend on revenue-generating activities</t>
  </si>
  <si>
    <t>% between 1-100</t>
  </si>
  <si>
    <t>% of time executives spend on revenue-generating activities</t>
  </si>
  <si>
    <t>Number between 1-52 (Weekly = 52)</t>
  </si>
  <si>
    <t>By frontline contributors</t>
  </si>
  <si>
    <t>By managers</t>
  </si>
  <si>
    <t>By executives</t>
  </si>
  <si>
    <t>The hours per year your organization currently spends on business reporting is:</t>
  </si>
  <si>
    <t>The total annual salary value of currrent time spent is:</t>
  </si>
  <si>
    <t>The hours per year your organization could save by using Groopit:</t>
  </si>
  <si>
    <t>The annual salary value of that time saved is:</t>
  </si>
  <si>
    <t xml:space="preserve">The Groopit Enterprise Plan ROI based on salary savings alone is: </t>
  </si>
  <si>
    <t>The hours your company could gain for direct revenue-generating activities is:</t>
  </si>
  <si>
    <t>That represents a total increase in revenue-generating hours of:</t>
  </si>
  <si>
    <t>That represents a projected increase in revenue of:</t>
  </si>
  <si>
    <t>That represents a total increase in your bottom line of:</t>
  </si>
  <si>
    <t xml:space="preserve">The Groopit Enterprise Plan ROI based on incremental EBITDA is: </t>
  </si>
  <si>
    <t>ROI CALCULATION BASED ON SALARY VALUE OF HOURS SAVED</t>
  </si>
  <si>
    <t>ROI CALCULATION BASED ON INCREMENTAL EBITDA</t>
  </si>
  <si>
    <t>ENTERPRISE PLAN: $95000</t>
  </si>
  <si>
    <t>TELL US ABOUT</t>
  </si>
  <si>
    <t>Reporting Cadence</t>
  </si>
  <si>
    <t>WHAT TO ENTER IN COLUMN D</t>
  </si>
  <si>
    <t>ENTER VALUES HERE</t>
  </si>
  <si>
    <t>Your company or division</t>
  </si>
  <si>
    <t>The hours your company could gain with Groopit for direct revenue-generating activities is:</t>
  </si>
  <si>
    <t>ENTER YOUR VALUES BELOW</t>
  </si>
  <si>
    <t>Hours or fractions of hours per report (90 min = 1.5)</t>
  </si>
  <si>
    <t>% between 1-100%</t>
  </si>
  <si>
    <t>ROI CALCULATION FOR EXECUTIVE BUSINESS REPORTING USE CASE</t>
  </si>
  <si>
    <t>TELL US ABOUT...</t>
  </si>
  <si>
    <t>ROI CALCULATION FOR BUSINESS REPORTING USE CASE AT CARLANCO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</si>
</sst>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8" formatCode="0.0%"/>
  </numFmts>
  <fonts count="23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Roboto Light"/>
    </font>
    <font>
      <sz val="14"/>
      <color theme="1"/>
      <name val="Roboto Light"/>
    </font>
    <font>
      <sz val="8"/>
      <name val="Aptos Narrow"/>
      <family val="2"/>
      <scheme val="minor"/>
    </font>
    <font>
      <sz val="14"/>
      <color theme="1"/>
      <name val="Roboto Bold"/>
    </font>
    <font>
      <b/>
      <sz val="14"/>
      <color theme="1"/>
      <name val="Roboto Light"/>
    </font>
    <font>
      <sz val="16"/>
      <color theme="1"/>
      <name val="Roboto Bold"/>
    </font>
    <font>
      <sz val="14"/>
      <color theme="0"/>
      <name val="Roboto Bold"/>
    </font>
    <font>
      <sz val="14"/>
      <color theme="0"/>
      <name val="Roboto Light"/>
    </font>
    <font>
      <sz val="12"/>
      <color theme="0"/>
      <name val="Roboto Bold"/>
    </font>
    <font>
      <b/>
      <sz val="12"/>
      <color theme="1"/>
      <name val="Roboto Light"/>
    </font>
    <font>
      <sz val="12"/>
      <color theme="1"/>
      <name val="Roboto Bold"/>
    </font>
    <font>
      <b/>
      <sz val="12"/>
      <color theme="4"/>
      <name val="Roboto Light"/>
    </font>
    <font>
      <sz val="12"/>
      <color theme="4"/>
      <name val="Roboto Light"/>
    </font>
    <font>
      <sz val="12"/>
      <color theme="0"/>
      <name val="Roboto Light"/>
    </font>
    <font>
      <b/>
      <sz val="12"/>
      <color rgb="FF003E52"/>
      <name val="Roboto Light"/>
    </font>
    <font>
      <b/>
      <sz val="12"/>
      <color rgb="FF06A1A8"/>
      <name val="Roboto Light"/>
    </font>
    <font>
      <sz val="12"/>
      <color rgb="FF003E52"/>
      <name val="Roboto Bold"/>
    </font>
    <font>
      <b/>
      <i/>
      <sz val="12"/>
      <color theme="4"/>
      <name val="Roboto Light"/>
    </font>
    <font>
      <b/>
      <sz val="16"/>
      <color rgb="FF003E52"/>
      <name val="Roboto Light"/>
    </font>
    <font>
      <b/>
      <sz val="16"/>
      <color rgb="FF06A1A8"/>
      <name val="Roboto Light"/>
    </font>
    <font>
      <sz val="16"/>
      <color theme="1"/>
      <name val="Roboto Ligh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3E52"/>
        <bgColor indexed="64"/>
      </patternFill>
    </fill>
    <fill>
      <patternFill patternType="solid">
        <fgColor rgb="FF06A1A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5" fillId="2" borderId="0" xfId="0" applyFont="1" applyFill="1"/>
    <xf numFmtId="0" fontId="3" fillId="2" borderId="0" xfId="0" applyFont="1" applyFill="1"/>
    <xf numFmtId="0" fontId="6" fillId="2" borderId="0" xfId="0" applyFont="1" applyFill="1" applyAlignment="1">
      <alignment horizontal="right"/>
    </xf>
    <xf numFmtId="165" fontId="6" fillId="2" borderId="0" xfId="1" applyNumberFormat="1" applyFont="1" applyFill="1" applyAlignment="1">
      <alignment horizontal="right"/>
    </xf>
    <xf numFmtId="164" fontId="6" fillId="2" borderId="0" xfId="2" applyNumberFormat="1" applyFont="1" applyFill="1" applyAlignment="1">
      <alignment horizontal="right"/>
    </xf>
    <xf numFmtId="165" fontId="6" fillId="2" borderId="0" xfId="0" applyNumberFormat="1" applyFont="1" applyFill="1" applyAlignment="1">
      <alignment horizontal="right"/>
    </xf>
    <xf numFmtId="165" fontId="6" fillId="2" borderId="0" xfId="1" applyNumberFormat="1" applyFont="1" applyFill="1"/>
    <xf numFmtId="10" fontId="6" fillId="2" borderId="0" xfId="3" applyNumberFormat="1" applyFont="1" applyFill="1"/>
    <xf numFmtId="164" fontId="6" fillId="2" borderId="0" xfId="0" applyNumberFormat="1" applyFont="1" applyFill="1"/>
    <xf numFmtId="44" fontId="6" fillId="2" borderId="0" xfId="0" applyNumberFormat="1" applyFont="1" applyFill="1"/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wrapText="1"/>
    </xf>
    <xf numFmtId="6" fontId="11" fillId="2" borderId="0" xfId="0" applyNumberFormat="1" applyFont="1" applyFill="1" applyAlignment="1">
      <alignment horizontal="left" vertical="center"/>
    </xf>
    <xf numFmtId="0" fontId="2" fillId="2" borderId="0" xfId="0" applyFont="1" applyFill="1"/>
    <xf numFmtId="0" fontId="12" fillId="2" borderId="0" xfId="0" applyFont="1" applyFill="1"/>
    <xf numFmtId="0" fontId="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/>
    </xf>
    <xf numFmtId="0" fontId="1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13" fillId="3" borderId="0" xfId="0" applyFont="1" applyFill="1" applyBorder="1" applyAlignment="1">
      <alignment horizontal="right"/>
    </xf>
    <xf numFmtId="164" fontId="13" fillId="3" borderId="0" xfId="2" applyNumberFormat="1" applyFont="1" applyFill="1" applyBorder="1" applyAlignment="1">
      <alignment horizontal="right"/>
    </xf>
    <xf numFmtId="9" fontId="13" fillId="3" borderId="0" xfId="3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13" fillId="2" borderId="0" xfId="0" applyFont="1" applyFill="1" applyBorder="1" applyAlignment="1">
      <alignment horizontal="right"/>
    </xf>
    <xf numFmtId="164" fontId="13" fillId="2" borderId="0" xfId="2" applyNumberFormat="1" applyFont="1" applyFill="1" applyBorder="1" applyAlignment="1">
      <alignment horizontal="right"/>
    </xf>
    <xf numFmtId="9" fontId="13" fillId="2" borderId="0" xfId="3" applyFont="1" applyFill="1" applyBorder="1" applyAlignment="1">
      <alignment horizontal="right"/>
    </xf>
    <xf numFmtId="0" fontId="12" fillId="3" borderId="0" xfId="0" applyFont="1" applyFill="1" applyBorder="1" applyAlignment="1">
      <alignment horizontal="center" vertical="center"/>
    </xf>
    <xf numFmtId="10" fontId="13" fillId="2" borderId="0" xfId="3" applyNumberFormat="1" applyFont="1" applyFill="1" applyBorder="1" applyAlignment="1">
      <alignment horizontal="right"/>
    </xf>
    <xf numFmtId="0" fontId="12" fillId="2" borderId="0" xfId="0" applyFont="1" applyFill="1" applyBorder="1"/>
    <xf numFmtId="0" fontId="14" fillId="2" borderId="0" xfId="0" applyFont="1" applyFill="1" applyBorder="1" applyAlignment="1">
      <alignment horizontal="right"/>
    </xf>
    <xf numFmtId="0" fontId="10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10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5" fontId="2" fillId="2" borderId="0" xfId="1" applyNumberFormat="1" applyFont="1" applyFill="1" applyAlignment="1">
      <alignment horizontal="right"/>
    </xf>
    <xf numFmtId="165" fontId="2" fillId="2" borderId="0" xfId="1" applyNumberFormat="1" applyFont="1" applyFill="1"/>
    <xf numFmtId="164" fontId="2" fillId="2" borderId="0" xfId="2" applyNumberFormat="1" applyFont="1" applyFill="1" applyAlignment="1">
      <alignment horizontal="right"/>
    </xf>
    <xf numFmtId="10" fontId="2" fillId="2" borderId="0" xfId="3" applyNumberFormat="1" applyFont="1" applyFill="1"/>
    <xf numFmtId="164" fontId="2" fillId="2" borderId="0" xfId="2" applyNumberFormat="1" applyFont="1" applyFill="1"/>
    <xf numFmtId="44" fontId="2" fillId="2" borderId="0" xfId="0" applyNumberFormat="1" applyFont="1" applyFill="1"/>
    <xf numFmtId="0" fontId="16" fillId="2" borderId="0" xfId="0" applyFont="1" applyFill="1" applyAlignment="1">
      <alignment horizontal="right"/>
    </xf>
    <xf numFmtId="2" fontId="16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horizontal="right"/>
    </xf>
    <xf numFmtId="2" fontId="17" fillId="2" borderId="0" xfId="0" applyNumberFormat="1" applyFont="1" applyFill="1" applyAlignment="1">
      <alignment horizontal="right"/>
    </xf>
    <xf numFmtId="0" fontId="0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right"/>
    </xf>
    <xf numFmtId="0" fontId="19" fillId="3" borderId="0" xfId="0" applyFont="1" applyFill="1" applyBorder="1" applyAlignment="1">
      <alignment horizontal="right"/>
    </xf>
    <xf numFmtId="164" fontId="19" fillId="3" borderId="0" xfId="2" applyNumberFormat="1" applyFont="1" applyFill="1" applyBorder="1" applyAlignment="1">
      <alignment horizontal="right"/>
    </xf>
    <xf numFmtId="9" fontId="19" fillId="3" borderId="0" xfId="3" applyFont="1" applyFill="1" applyBorder="1" applyAlignment="1">
      <alignment horizontal="right"/>
    </xf>
    <xf numFmtId="0" fontId="19" fillId="2" borderId="0" xfId="0" applyFont="1" applyFill="1" applyBorder="1" applyAlignment="1">
      <alignment horizontal="right"/>
    </xf>
    <xf numFmtId="164" fontId="19" fillId="2" borderId="0" xfId="2" applyNumberFormat="1" applyFont="1" applyFill="1" applyBorder="1" applyAlignment="1">
      <alignment horizontal="right"/>
    </xf>
    <xf numFmtId="9" fontId="19" fillId="2" borderId="0" xfId="3" applyFont="1" applyFill="1" applyBorder="1" applyAlignment="1">
      <alignment horizontal="right"/>
    </xf>
    <xf numFmtId="10" fontId="19" fillId="2" borderId="0" xfId="3" applyNumberFormat="1" applyFont="1" applyFill="1" applyBorder="1" applyAlignment="1">
      <alignment horizontal="right"/>
    </xf>
    <xf numFmtId="168" fontId="19" fillId="3" borderId="0" xfId="3" applyNumberFormat="1" applyFont="1" applyFill="1" applyBorder="1" applyAlignment="1">
      <alignment horizontal="right"/>
    </xf>
    <xf numFmtId="168" fontId="19" fillId="2" borderId="0" xfId="3" applyNumberFormat="1" applyFont="1" applyFill="1" applyBorder="1" applyAlignment="1">
      <alignment horizontal="right"/>
    </xf>
    <xf numFmtId="164" fontId="2" fillId="2" borderId="0" xfId="0" applyNumberFormat="1" applyFont="1" applyFill="1"/>
    <xf numFmtId="0" fontId="7" fillId="2" borderId="0" xfId="0" applyFont="1" applyFill="1"/>
    <xf numFmtId="0" fontId="20" fillId="2" borderId="0" xfId="0" applyFont="1" applyFill="1" applyAlignment="1">
      <alignment horizontal="right"/>
    </xf>
    <xf numFmtId="2" fontId="20" fillId="2" borderId="0" xfId="0" applyNumberFormat="1" applyFont="1" applyFill="1" applyAlignment="1">
      <alignment horizontal="right"/>
    </xf>
    <xf numFmtId="0" fontId="21" fillId="2" borderId="0" xfId="0" applyFont="1" applyFill="1" applyAlignment="1">
      <alignment horizontal="right"/>
    </xf>
    <xf numFmtId="2" fontId="21" fillId="2" borderId="0" xfId="0" applyNumberFormat="1" applyFont="1" applyFill="1" applyAlignment="1">
      <alignment horizontal="right"/>
    </xf>
    <xf numFmtId="0" fontId="22" fillId="2" borderId="0" xfId="0" applyFont="1" applyFill="1"/>
    <xf numFmtId="0" fontId="8" fillId="4" borderId="0" xfId="0" applyFont="1" applyFill="1" applyAlignment="1">
      <alignment horizontal="left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3E52"/>
      <color rgb="FF06A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D06A1-A486-5C40-8090-7A87EF09180E}">
  <dimension ref="B1:G46"/>
  <sheetViews>
    <sheetView tabSelected="1" workbookViewId="0">
      <selection activeCell="E4" sqref="E4"/>
    </sheetView>
  </sheetViews>
  <sheetFormatPr baseColWidth="10" defaultRowHeight="16"/>
  <cols>
    <col min="1" max="1" width="6.5" style="21" customWidth="1"/>
    <col min="2" max="2" width="19.33203125" style="22" customWidth="1"/>
    <col min="3" max="3" width="65.6640625" style="21" customWidth="1"/>
    <col min="4" max="4" width="20.83203125" style="23" customWidth="1"/>
    <col min="5" max="5" width="3.33203125" style="23" customWidth="1"/>
    <col min="6" max="6" width="101.6640625" style="21" customWidth="1"/>
    <col min="7" max="7" width="19.33203125" style="21" customWidth="1"/>
    <col min="8" max="16384" width="10.83203125" style="21"/>
  </cols>
  <sheetData>
    <row r="1" spans="2:6" ht="43" customHeight="1">
      <c r="B1" s="78" t="s">
        <v>54</v>
      </c>
      <c r="C1" s="78"/>
      <c r="D1" s="78"/>
      <c r="E1" s="19"/>
      <c r="F1" s="20" t="s">
        <v>44</v>
      </c>
    </row>
    <row r="2" spans="2:6" ht="19" customHeight="1"/>
    <row r="3" spans="2:6" s="58" customFormat="1" ht="35" customHeight="1">
      <c r="B3" s="60" t="s">
        <v>55</v>
      </c>
      <c r="D3" s="59" t="s">
        <v>51</v>
      </c>
      <c r="E3" s="59"/>
      <c r="F3" s="58" t="s">
        <v>47</v>
      </c>
    </row>
    <row r="4" spans="2:6">
      <c r="B4" s="24" t="s">
        <v>46</v>
      </c>
      <c r="C4" s="21" t="s">
        <v>0</v>
      </c>
      <c r="D4" s="61">
        <v>52</v>
      </c>
      <c r="E4" s="25"/>
      <c r="F4" s="21" t="s">
        <v>28</v>
      </c>
    </row>
    <row r="5" spans="2:6" ht="18" customHeight="1">
      <c r="B5" s="26" t="s">
        <v>9</v>
      </c>
      <c r="C5" s="27" t="s">
        <v>1</v>
      </c>
      <c r="D5" s="62">
        <v>100</v>
      </c>
      <c r="E5" s="28"/>
      <c r="F5" s="27" t="s">
        <v>14</v>
      </c>
    </row>
    <row r="6" spans="2:6">
      <c r="B6" s="26"/>
      <c r="C6" s="27" t="s">
        <v>6</v>
      </c>
      <c r="D6" s="62">
        <v>1.5</v>
      </c>
      <c r="E6" s="28"/>
      <c r="F6" s="27" t="s">
        <v>52</v>
      </c>
    </row>
    <row r="7" spans="2:6">
      <c r="B7" s="26"/>
      <c r="C7" s="27" t="s">
        <v>2</v>
      </c>
      <c r="D7" s="63">
        <v>100000</v>
      </c>
      <c r="E7" s="29"/>
      <c r="F7" s="27" t="s">
        <v>16</v>
      </c>
    </row>
    <row r="8" spans="2:6">
      <c r="B8" s="26"/>
      <c r="C8" s="27" t="s">
        <v>24</v>
      </c>
      <c r="D8" s="69">
        <v>0.9</v>
      </c>
      <c r="E8" s="30"/>
      <c r="F8" s="27" t="s">
        <v>53</v>
      </c>
    </row>
    <row r="9" spans="2:6" ht="18" customHeight="1">
      <c r="B9" s="31" t="s">
        <v>10</v>
      </c>
      <c r="C9" s="32" t="s">
        <v>3</v>
      </c>
      <c r="D9" s="65">
        <v>20</v>
      </c>
      <c r="E9" s="33"/>
      <c r="F9" s="32" t="s">
        <v>15</v>
      </c>
    </row>
    <row r="10" spans="2:6">
      <c r="B10" s="31"/>
      <c r="C10" s="32" t="s">
        <v>7</v>
      </c>
      <c r="D10" s="65">
        <v>5</v>
      </c>
      <c r="E10" s="33"/>
      <c r="F10" s="32" t="s">
        <v>13</v>
      </c>
    </row>
    <row r="11" spans="2:6">
      <c r="B11" s="31"/>
      <c r="C11" s="32" t="s">
        <v>4</v>
      </c>
      <c r="D11" s="66">
        <v>200000</v>
      </c>
      <c r="E11" s="34"/>
      <c r="F11" s="32" t="s">
        <v>16</v>
      </c>
    </row>
    <row r="12" spans="2:6">
      <c r="B12" s="31"/>
      <c r="C12" s="32" t="s">
        <v>25</v>
      </c>
      <c r="D12" s="70">
        <v>0.15</v>
      </c>
      <c r="E12" s="35"/>
      <c r="F12" s="32" t="s">
        <v>53</v>
      </c>
    </row>
    <row r="13" spans="2:6">
      <c r="B13" s="36" t="s">
        <v>12</v>
      </c>
      <c r="C13" s="27" t="s">
        <v>5</v>
      </c>
      <c r="D13" s="62">
        <v>4</v>
      </c>
      <c r="E13" s="28"/>
      <c r="F13" s="27" t="s">
        <v>17</v>
      </c>
    </row>
    <row r="14" spans="2:6">
      <c r="B14" s="36"/>
      <c r="C14" s="27" t="s">
        <v>8</v>
      </c>
      <c r="D14" s="62">
        <v>2</v>
      </c>
      <c r="E14" s="28"/>
      <c r="F14" s="27" t="s">
        <v>13</v>
      </c>
    </row>
    <row r="15" spans="2:6">
      <c r="B15" s="36"/>
      <c r="C15" s="27" t="s">
        <v>11</v>
      </c>
      <c r="D15" s="63">
        <v>300000</v>
      </c>
      <c r="E15" s="29"/>
      <c r="F15" s="27" t="s">
        <v>16</v>
      </c>
    </row>
    <row r="16" spans="2:6">
      <c r="B16" s="36"/>
      <c r="C16" s="27" t="s">
        <v>27</v>
      </c>
      <c r="D16" s="69">
        <v>2.5000000000000001E-2</v>
      </c>
      <c r="E16" s="30"/>
      <c r="F16" s="27" t="s">
        <v>53</v>
      </c>
    </row>
    <row r="17" spans="2:7">
      <c r="B17" s="31" t="s">
        <v>49</v>
      </c>
      <c r="C17" s="32" t="s">
        <v>18</v>
      </c>
      <c r="D17" s="66">
        <v>1200000000</v>
      </c>
      <c r="E17" s="34"/>
      <c r="F17" s="32" t="s">
        <v>20</v>
      </c>
    </row>
    <row r="18" spans="2:7">
      <c r="B18" s="31"/>
      <c r="C18" s="32" t="s">
        <v>19</v>
      </c>
      <c r="D18" s="66">
        <v>90000000</v>
      </c>
      <c r="E18" s="34"/>
      <c r="F18" s="32" t="s">
        <v>21</v>
      </c>
    </row>
    <row r="19" spans="2:7">
      <c r="B19" s="31"/>
      <c r="C19" s="32" t="s">
        <v>22</v>
      </c>
      <c r="D19" s="68">
        <f>D18/D17</f>
        <v>7.4999999999999997E-2</v>
      </c>
      <c r="E19" s="37"/>
      <c r="F19" s="32" t="s">
        <v>23</v>
      </c>
    </row>
    <row r="20" spans="2:7">
      <c r="B20" s="38"/>
      <c r="C20" s="32"/>
      <c r="D20" s="39"/>
      <c r="E20" s="39"/>
      <c r="F20" s="32"/>
    </row>
    <row r="22" spans="2:7" s="17" customFormat="1" ht="32" customHeight="1">
      <c r="B22" s="11" t="s">
        <v>42</v>
      </c>
      <c r="C22" s="12"/>
      <c r="D22" s="13"/>
      <c r="E22" s="14"/>
      <c r="F22" s="15" t="s">
        <v>43</v>
      </c>
      <c r="G22" s="16"/>
    </row>
    <row r="23" spans="2:7" s="2" customFormat="1" ht="18">
      <c r="B23" s="1"/>
      <c r="C23" s="3" t="s">
        <v>32</v>
      </c>
      <c r="D23" s="4">
        <f>(D6*D5*D4)+(D9*D10*D4)+(D13*D14*D4)</f>
        <v>13416</v>
      </c>
      <c r="E23" s="4"/>
      <c r="F23" s="3" t="s">
        <v>37</v>
      </c>
      <c r="G23" s="7">
        <f>SUM(G24:G26)</f>
        <v>6367.4000000000005</v>
      </c>
    </row>
    <row r="24" spans="2:7">
      <c r="C24" s="23" t="s">
        <v>29</v>
      </c>
      <c r="D24" s="47">
        <f>D5*D6*D4</f>
        <v>7800</v>
      </c>
      <c r="E24" s="47"/>
      <c r="F24" s="23" t="s">
        <v>29</v>
      </c>
      <c r="G24" s="48">
        <f>D34*D8</f>
        <v>5850</v>
      </c>
    </row>
    <row r="25" spans="2:7">
      <c r="C25" s="23" t="s">
        <v>30</v>
      </c>
      <c r="D25" s="47">
        <f>D9*D10*D4</f>
        <v>5200</v>
      </c>
      <c r="E25" s="47"/>
      <c r="F25" s="23" t="s">
        <v>30</v>
      </c>
      <c r="G25" s="48">
        <f>D35*D12</f>
        <v>514.79999999999995</v>
      </c>
    </row>
    <row r="26" spans="2:7">
      <c r="C26" s="23" t="s">
        <v>31</v>
      </c>
      <c r="D26" s="47">
        <f>D13*D14*D4</f>
        <v>416</v>
      </c>
      <c r="E26" s="47"/>
      <c r="F26" s="23" t="s">
        <v>31</v>
      </c>
      <c r="G26" s="48">
        <f>D36*D16</f>
        <v>2.6</v>
      </c>
    </row>
    <row r="27" spans="2:7">
      <c r="F27" s="23"/>
    </row>
    <row r="28" spans="2:7" s="2" customFormat="1" ht="18">
      <c r="B28" s="1"/>
      <c r="C28" s="3" t="s">
        <v>33</v>
      </c>
      <c r="D28" s="5">
        <f>SUM(D29:D31)</f>
        <v>935000</v>
      </c>
      <c r="E28" s="5"/>
      <c r="F28" s="3" t="s">
        <v>38</v>
      </c>
      <c r="G28" s="8">
        <f>((G29*D5)+(G30*D9)+(G31*D13))/(D5+D9+D13)</f>
        <v>2.4687500000000001E-2</v>
      </c>
    </row>
    <row r="29" spans="2:7">
      <c r="C29" s="23" t="s">
        <v>29</v>
      </c>
      <c r="D29" s="49">
        <f>D24*(D7/52/40)</f>
        <v>375000</v>
      </c>
      <c r="E29" s="49"/>
      <c r="F29" s="23" t="s">
        <v>29</v>
      </c>
      <c r="G29" s="50">
        <f>G24/(D5*40*52)</f>
        <v>2.8125000000000001E-2</v>
      </c>
    </row>
    <row r="30" spans="2:7">
      <c r="C30" s="23" t="s">
        <v>30</v>
      </c>
      <c r="D30" s="49">
        <f>D25*(D11/52/40)</f>
        <v>500000.00000000006</v>
      </c>
      <c r="E30" s="49"/>
      <c r="F30" s="23" t="s">
        <v>30</v>
      </c>
      <c r="G30" s="50">
        <f>G25/(D9*40*52)</f>
        <v>1.2374999999999999E-2</v>
      </c>
    </row>
    <row r="31" spans="2:7">
      <c r="C31" s="23" t="s">
        <v>31</v>
      </c>
      <c r="D31" s="49">
        <f>D26*(D15/52/40)</f>
        <v>60000</v>
      </c>
      <c r="E31" s="49"/>
      <c r="F31" s="23" t="s">
        <v>31</v>
      </c>
      <c r="G31" s="50">
        <f>G26/(D13*40*52)</f>
        <v>3.1250000000000001E-4</v>
      </c>
    </row>
    <row r="32" spans="2:7">
      <c r="F32" s="23"/>
    </row>
    <row r="33" spans="2:7" s="2" customFormat="1" ht="18">
      <c r="B33" s="1"/>
      <c r="C33" s="3" t="s">
        <v>34</v>
      </c>
      <c r="D33" s="6">
        <f>SUM(D34:D36)</f>
        <v>10036</v>
      </c>
      <c r="E33" s="6"/>
      <c r="F33" s="3" t="s">
        <v>39</v>
      </c>
      <c r="G33" s="9">
        <f>SUM(G34:G36)</f>
        <v>48975000</v>
      </c>
    </row>
    <row r="34" spans="2:7">
      <c r="C34" s="23" t="s">
        <v>29</v>
      </c>
      <c r="D34" s="47">
        <f>(D6-0.25)*D5*D4</f>
        <v>6500</v>
      </c>
      <c r="E34" s="47"/>
      <c r="F34" s="23" t="s">
        <v>29</v>
      </c>
      <c r="G34" s="51">
        <f>G24*(D17/D5/40/52)</f>
        <v>33750000</v>
      </c>
    </row>
    <row r="35" spans="2:7">
      <c r="C35" s="23" t="s">
        <v>30</v>
      </c>
      <c r="D35" s="47">
        <f>0.66*D25</f>
        <v>3432</v>
      </c>
      <c r="E35" s="47"/>
      <c r="F35" s="23" t="s">
        <v>30</v>
      </c>
      <c r="G35" s="51">
        <f>G25*(D17/D9/40/52)</f>
        <v>14850000</v>
      </c>
    </row>
    <row r="36" spans="2:7">
      <c r="C36" s="23" t="s">
        <v>31</v>
      </c>
      <c r="D36" s="47">
        <f>0.25*D26</f>
        <v>104</v>
      </c>
      <c r="E36" s="47"/>
      <c r="F36" s="23" t="s">
        <v>31</v>
      </c>
      <c r="G36" s="51">
        <f>G26*(D17/D13/40/52)</f>
        <v>375000</v>
      </c>
    </row>
    <row r="38" spans="2:7" s="2" customFormat="1" ht="18">
      <c r="B38" s="1"/>
      <c r="C38" s="3" t="s">
        <v>35</v>
      </c>
      <c r="D38" s="5">
        <f>SUM(D39:D41)</f>
        <v>657500</v>
      </c>
      <c r="E38" s="5"/>
      <c r="F38" s="3" t="s">
        <v>40</v>
      </c>
      <c r="G38" s="10">
        <f>G33*D$19</f>
        <v>3673125</v>
      </c>
    </row>
    <row r="39" spans="2:7">
      <c r="C39" s="23" t="s">
        <v>29</v>
      </c>
      <c r="D39" s="49">
        <f>D34*(D7/40/52)</f>
        <v>312500</v>
      </c>
      <c r="E39" s="49"/>
      <c r="F39" s="23" t="s">
        <v>29</v>
      </c>
      <c r="G39" s="71">
        <f t="shared" ref="G39:G41" si="0">G34*D$19</f>
        <v>2531250</v>
      </c>
    </row>
    <row r="40" spans="2:7">
      <c r="C40" s="23" t="s">
        <v>30</v>
      </c>
      <c r="D40" s="49">
        <f>D35*(D11/52/40)</f>
        <v>330000</v>
      </c>
      <c r="E40" s="49"/>
      <c r="F40" s="23" t="s">
        <v>30</v>
      </c>
      <c r="G40" s="71">
        <f t="shared" si="0"/>
        <v>1113750</v>
      </c>
    </row>
    <row r="41" spans="2:7">
      <c r="C41" s="23" t="s">
        <v>31</v>
      </c>
      <c r="D41" s="49">
        <f>D36*(D15/52/40)</f>
        <v>15000</v>
      </c>
      <c r="E41" s="49"/>
      <c r="F41" s="23" t="s">
        <v>31</v>
      </c>
      <c r="G41" s="71">
        <f t="shared" si="0"/>
        <v>28125</v>
      </c>
    </row>
    <row r="43" spans="2:7" s="77" customFormat="1" ht="21">
      <c r="B43" s="72"/>
      <c r="C43" s="73" t="s">
        <v>36</v>
      </c>
      <c r="D43" s="74">
        <f>D38/95000</f>
        <v>6.9210526315789478</v>
      </c>
      <c r="E43" s="74"/>
      <c r="F43" s="75" t="s">
        <v>41</v>
      </c>
      <c r="G43" s="76">
        <f>G38/95000</f>
        <v>38.664473684210527</v>
      </c>
    </row>
    <row r="44" spans="2:7">
      <c r="C44" s="57"/>
    </row>
    <row r="45" spans="2:7">
      <c r="C45" s="57"/>
    </row>
    <row r="46" spans="2:7">
      <c r="C46" s="57"/>
    </row>
  </sheetData>
  <mergeCells count="5">
    <mergeCell ref="B1:D1"/>
    <mergeCell ref="B17:B19"/>
    <mergeCell ref="B5:B8"/>
    <mergeCell ref="B9:B12"/>
    <mergeCell ref="B13:B16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305D1-D790-174A-B80F-D1E5C8B9A128}">
  <dimension ref="B1:G46"/>
  <sheetViews>
    <sheetView workbookViewId="0">
      <selection activeCell="F28" sqref="F28"/>
    </sheetView>
  </sheetViews>
  <sheetFormatPr baseColWidth="10" defaultRowHeight="16"/>
  <cols>
    <col min="1" max="1" width="6.5" style="21" customWidth="1"/>
    <col min="2" max="2" width="19.33203125" style="22" customWidth="1"/>
    <col min="3" max="3" width="65.6640625" style="21" customWidth="1"/>
    <col min="4" max="4" width="20.6640625" style="23" customWidth="1"/>
    <col min="5" max="5" width="3.33203125" style="23" customWidth="1"/>
    <col min="6" max="6" width="101.6640625" style="21" customWidth="1"/>
    <col min="7" max="7" width="19.33203125" style="21" customWidth="1"/>
    <col min="8" max="16384" width="10.83203125" style="21"/>
  </cols>
  <sheetData>
    <row r="1" spans="2:6" ht="43" customHeight="1">
      <c r="B1" s="18" t="s">
        <v>56</v>
      </c>
      <c r="C1" s="18"/>
      <c r="D1" s="18"/>
      <c r="E1" s="19"/>
      <c r="F1" s="20" t="s">
        <v>44</v>
      </c>
    </row>
    <row r="2" spans="2:6" ht="19" customHeight="1"/>
    <row r="3" spans="2:6" s="58" customFormat="1" ht="23" customHeight="1">
      <c r="B3" s="60" t="s">
        <v>45</v>
      </c>
      <c r="D3" s="59" t="s">
        <v>48</v>
      </c>
      <c r="E3" s="59"/>
      <c r="F3" s="58" t="s">
        <v>47</v>
      </c>
    </row>
    <row r="4" spans="2:6">
      <c r="B4" s="24" t="s">
        <v>46</v>
      </c>
      <c r="C4" s="21" t="s">
        <v>0</v>
      </c>
      <c r="D4" s="61">
        <v>52</v>
      </c>
      <c r="E4" s="25"/>
      <c r="F4" s="21" t="s">
        <v>28</v>
      </c>
    </row>
    <row r="5" spans="2:6" ht="18" customHeight="1">
      <c r="B5" s="26" t="s">
        <v>9</v>
      </c>
      <c r="C5" s="27" t="s">
        <v>1</v>
      </c>
      <c r="D5" s="62">
        <v>115</v>
      </c>
      <c r="E5" s="28"/>
      <c r="F5" s="27" t="s">
        <v>14</v>
      </c>
    </row>
    <row r="6" spans="2:6">
      <c r="B6" s="26"/>
      <c r="C6" s="27" t="s">
        <v>6</v>
      </c>
      <c r="D6" s="62">
        <v>1</v>
      </c>
      <c r="E6" s="28"/>
      <c r="F6" s="27" t="s">
        <v>13</v>
      </c>
    </row>
    <row r="7" spans="2:6">
      <c r="B7" s="26"/>
      <c r="C7" s="27" t="s">
        <v>2</v>
      </c>
      <c r="D7" s="63">
        <f>50*40*52</f>
        <v>104000</v>
      </c>
      <c r="E7" s="29"/>
      <c r="F7" s="27" t="s">
        <v>16</v>
      </c>
    </row>
    <row r="8" spans="2:6">
      <c r="B8" s="26"/>
      <c r="C8" s="27" t="s">
        <v>24</v>
      </c>
      <c r="D8" s="64">
        <v>1</v>
      </c>
      <c r="E8" s="30"/>
      <c r="F8" s="27" t="s">
        <v>26</v>
      </c>
    </row>
    <row r="9" spans="2:6" ht="18" customHeight="1">
      <c r="B9" s="31" t="s">
        <v>10</v>
      </c>
      <c r="C9" s="32" t="s">
        <v>3</v>
      </c>
      <c r="D9" s="65">
        <v>15</v>
      </c>
      <c r="E9" s="33"/>
      <c r="F9" s="32" t="s">
        <v>15</v>
      </c>
    </row>
    <row r="10" spans="2:6">
      <c r="B10" s="31"/>
      <c r="C10" s="32" t="s">
        <v>7</v>
      </c>
      <c r="D10" s="65">
        <v>5</v>
      </c>
      <c r="E10" s="33"/>
      <c r="F10" s="32" t="s">
        <v>13</v>
      </c>
    </row>
    <row r="11" spans="2:6">
      <c r="B11" s="31"/>
      <c r="C11" s="32" t="s">
        <v>4</v>
      </c>
      <c r="D11" s="66">
        <f>125*40*52</f>
        <v>260000</v>
      </c>
      <c r="E11" s="34"/>
      <c r="F11" s="32" t="s">
        <v>16</v>
      </c>
    </row>
    <row r="12" spans="2:6">
      <c r="B12" s="31"/>
      <c r="C12" s="32" t="s">
        <v>25</v>
      </c>
      <c r="D12" s="67">
        <v>0.2</v>
      </c>
      <c r="E12" s="35"/>
      <c r="F12" s="32" t="s">
        <v>26</v>
      </c>
    </row>
    <row r="13" spans="2:6">
      <c r="B13" s="36" t="s">
        <v>12</v>
      </c>
      <c r="C13" s="27" t="s">
        <v>5</v>
      </c>
      <c r="D13" s="62">
        <v>2</v>
      </c>
      <c r="E13" s="28"/>
      <c r="F13" s="27" t="s">
        <v>17</v>
      </c>
    </row>
    <row r="14" spans="2:6">
      <c r="B14" s="36"/>
      <c r="C14" s="27" t="s">
        <v>8</v>
      </c>
      <c r="D14" s="62">
        <v>0.75</v>
      </c>
      <c r="E14" s="28"/>
      <c r="F14" s="27" t="s">
        <v>13</v>
      </c>
    </row>
    <row r="15" spans="2:6">
      <c r="B15" s="36"/>
      <c r="C15" s="27" t="s">
        <v>11</v>
      </c>
      <c r="D15" s="63">
        <v>400000</v>
      </c>
      <c r="E15" s="29"/>
      <c r="F15" s="27" t="s">
        <v>16</v>
      </c>
    </row>
    <row r="16" spans="2:6">
      <c r="B16" s="36"/>
      <c r="C16" s="27" t="s">
        <v>27</v>
      </c>
      <c r="D16" s="64">
        <v>0</v>
      </c>
      <c r="E16" s="30"/>
      <c r="F16" s="27" t="s">
        <v>26</v>
      </c>
    </row>
    <row r="17" spans="2:7">
      <c r="B17" s="31" t="s">
        <v>49</v>
      </c>
      <c r="C17" s="32" t="s">
        <v>18</v>
      </c>
      <c r="D17" s="66">
        <v>1250000000</v>
      </c>
      <c r="E17" s="34"/>
      <c r="F17" s="32" t="s">
        <v>20</v>
      </c>
    </row>
    <row r="18" spans="2:7">
      <c r="B18" s="31"/>
      <c r="C18" s="32" t="s">
        <v>19</v>
      </c>
      <c r="D18" s="66">
        <v>108000000</v>
      </c>
      <c r="E18" s="34"/>
      <c r="F18" s="32" t="s">
        <v>21</v>
      </c>
    </row>
    <row r="19" spans="2:7">
      <c r="B19" s="31"/>
      <c r="C19" s="32" t="s">
        <v>22</v>
      </c>
      <c r="D19" s="68">
        <f>D18/D17</f>
        <v>8.6400000000000005E-2</v>
      </c>
      <c r="E19" s="37"/>
      <c r="F19" s="32" t="s">
        <v>23</v>
      </c>
    </row>
    <row r="20" spans="2:7">
      <c r="B20" s="38"/>
      <c r="C20" s="32"/>
      <c r="D20" s="39"/>
      <c r="E20" s="39"/>
      <c r="F20" s="32"/>
    </row>
    <row r="22" spans="2:7" s="46" customFormat="1" ht="32" customHeight="1">
      <c r="B22" s="40" t="s">
        <v>42</v>
      </c>
      <c r="C22" s="41"/>
      <c r="D22" s="42"/>
      <c r="E22" s="43"/>
      <c r="F22" s="44" t="s">
        <v>43</v>
      </c>
      <c r="G22" s="45"/>
    </row>
    <row r="23" spans="2:7" s="2" customFormat="1" ht="18">
      <c r="B23" s="1"/>
      <c r="C23" s="3" t="s">
        <v>32</v>
      </c>
      <c r="D23" s="4">
        <f>(D6*D5*D4)+(D9*D10*D4)+(D13*D14*D4)</f>
        <v>9958</v>
      </c>
      <c r="E23" s="4"/>
      <c r="F23" s="3" t="s">
        <v>50</v>
      </c>
      <c r="G23" s="7">
        <f>SUM(G24:G26)</f>
        <v>4999.8</v>
      </c>
    </row>
    <row r="24" spans="2:7">
      <c r="C24" s="23" t="s">
        <v>29</v>
      </c>
      <c r="D24" s="47">
        <f>D5*D6*D4</f>
        <v>5980</v>
      </c>
      <c r="E24" s="47"/>
      <c r="F24" s="23" t="s">
        <v>29</v>
      </c>
      <c r="G24" s="48">
        <f>D34*D8</f>
        <v>4485</v>
      </c>
    </row>
    <row r="25" spans="2:7">
      <c r="C25" s="23" t="s">
        <v>30</v>
      </c>
      <c r="D25" s="47">
        <f>D9*D10*D4</f>
        <v>3900</v>
      </c>
      <c r="E25" s="47"/>
      <c r="F25" s="23" t="s">
        <v>30</v>
      </c>
      <c r="G25" s="48">
        <f>D35*D12</f>
        <v>514.80000000000007</v>
      </c>
    </row>
    <row r="26" spans="2:7">
      <c r="C26" s="23" t="s">
        <v>31</v>
      </c>
      <c r="D26" s="47">
        <f>D13*D14*D4</f>
        <v>78</v>
      </c>
      <c r="E26" s="47"/>
      <c r="F26" s="23" t="s">
        <v>31</v>
      </c>
      <c r="G26" s="48">
        <f>D36*D16</f>
        <v>0</v>
      </c>
    </row>
    <row r="27" spans="2:7">
      <c r="F27" s="23"/>
    </row>
    <row r="28" spans="2:7" s="2" customFormat="1" ht="18">
      <c r="B28" s="1"/>
      <c r="C28" s="3" t="s">
        <v>33</v>
      </c>
      <c r="D28" s="5">
        <f>SUM(D29:D31)</f>
        <v>801500</v>
      </c>
      <c r="E28" s="5"/>
      <c r="F28" s="3" t="s">
        <v>38</v>
      </c>
      <c r="G28" s="8">
        <f>((G29*D5)+(G30*D9)+(G31*D13))/(D5+D9+D13)</f>
        <v>1.8210227272727274E-2</v>
      </c>
    </row>
    <row r="29" spans="2:7">
      <c r="C29" s="23" t="s">
        <v>29</v>
      </c>
      <c r="D29" s="49">
        <f>D24*(D7/52/40)</f>
        <v>299000</v>
      </c>
      <c r="E29" s="49"/>
      <c r="F29" s="23" t="s">
        <v>29</v>
      </c>
      <c r="G29" s="50">
        <f>G24/(D5*40*52)</f>
        <v>1.8749999999999999E-2</v>
      </c>
    </row>
    <row r="30" spans="2:7">
      <c r="C30" s="23" t="s">
        <v>30</v>
      </c>
      <c r="D30" s="49">
        <f>D25*(D11/52/40)</f>
        <v>487500</v>
      </c>
      <c r="E30" s="49"/>
      <c r="F30" s="23" t="s">
        <v>30</v>
      </c>
      <c r="G30" s="50">
        <f>G25/(D9*40*52)</f>
        <v>1.6500000000000001E-2</v>
      </c>
    </row>
    <row r="31" spans="2:7">
      <c r="C31" s="23" t="s">
        <v>31</v>
      </c>
      <c r="D31" s="49">
        <f>D26*(D15/52/40)</f>
        <v>15000.000000000002</v>
      </c>
      <c r="E31" s="49"/>
      <c r="F31" s="23" t="s">
        <v>31</v>
      </c>
      <c r="G31" s="50">
        <f>G26/(D13*40*52)</f>
        <v>0</v>
      </c>
    </row>
    <row r="32" spans="2:7">
      <c r="F32" s="23"/>
    </row>
    <row r="33" spans="2:7" s="2" customFormat="1" ht="18">
      <c r="B33" s="1"/>
      <c r="C33" s="3" t="s">
        <v>34</v>
      </c>
      <c r="D33" s="6">
        <f>SUM(D34:D36)</f>
        <v>7078.5</v>
      </c>
      <c r="E33" s="6"/>
      <c r="F33" s="3" t="s">
        <v>39</v>
      </c>
      <c r="G33" s="9">
        <f>SUM(G34:G36)</f>
        <v>44062500</v>
      </c>
    </row>
    <row r="34" spans="2:7">
      <c r="C34" s="23" t="s">
        <v>29</v>
      </c>
      <c r="D34" s="47">
        <f>(D6-0.25)*D5*D4</f>
        <v>4485</v>
      </c>
      <c r="E34" s="47"/>
      <c r="F34" s="23" t="s">
        <v>29</v>
      </c>
      <c r="G34" s="51">
        <f>G24*(D17/D5/40/52)</f>
        <v>23437499.999999996</v>
      </c>
    </row>
    <row r="35" spans="2:7">
      <c r="C35" s="23" t="s">
        <v>30</v>
      </c>
      <c r="D35" s="47">
        <f>0.66*D25</f>
        <v>2574</v>
      </c>
      <c r="E35" s="47"/>
      <c r="F35" s="23" t="s">
        <v>30</v>
      </c>
      <c r="G35" s="51">
        <f>G25*(D17/D9/40/52)</f>
        <v>20625000.000000004</v>
      </c>
    </row>
    <row r="36" spans="2:7">
      <c r="C36" s="23" t="s">
        <v>31</v>
      </c>
      <c r="D36" s="47">
        <f>0.25*D26</f>
        <v>19.5</v>
      </c>
      <c r="E36" s="47"/>
      <c r="F36" s="23" t="s">
        <v>31</v>
      </c>
      <c r="G36" s="51">
        <f>G26*(D17/D13/40/52)</f>
        <v>0</v>
      </c>
    </row>
    <row r="38" spans="2:7" s="2" customFormat="1" ht="18">
      <c r="B38" s="1"/>
      <c r="C38" s="3" t="s">
        <v>35</v>
      </c>
      <c r="D38" s="5">
        <f>SUM(D39:D41)</f>
        <v>549750</v>
      </c>
      <c r="E38" s="5"/>
      <c r="F38" s="3" t="s">
        <v>40</v>
      </c>
      <c r="G38" s="10">
        <f>SUM(G39:G41)</f>
        <v>3807000</v>
      </c>
    </row>
    <row r="39" spans="2:7">
      <c r="C39" s="23" t="s">
        <v>29</v>
      </c>
      <c r="D39" s="49">
        <f>D34*(D7/40/52)</f>
        <v>224250</v>
      </c>
      <c r="E39" s="49"/>
      <c r="F39" s="23" t="s">
        <v>29</v>
      </c>
      <c r="G39" s="52">
        <f t="shared" ref="G39:G41" si="0">G34*D$19</f>
        <v>2024999.9999999998</v>
      </c>
    </row>
    <row r="40" spans="2:7">
      <c r="C40" s="23" t="s">
        <v>30</v>
      </c>
      <c r="D40" s="49">
        <f>D35*(D11/52/40)</f>
        <v>321750</v>
      </c>
      <c r="E40" s="49"/>
      <c r="F40" s="23" t="s">
        <v>30</v>
      </c>
      <c r="G40" s="52">
        <f t="shared" si="0"/>
        <v>1782000.0000000005</v>
      </c>
    </row>
    <row r="41" spans="2:7">
      <c r="C41" s="23" t="s">
        <v>31</v>
      </c>
      <c r="D41" s="49">
        <f>D36*(D15/52/40)</f>
        <v>3750.0000000000005</v>
      </c>
      <c r="E41" s="49"/>
      <c r="F41" s="23" t="s">
        <v>31</v>
      </c>
      <c r="G41" s="52">
        <f t="shared" si="0"/>
        <v>0</v>
      </c>
    </row>
    <row r="43" spans="2:7">
      <c r="C43" s="53" t="s">
        <v>36</v>
      </c>
      <c r="D43" s="54">
        <f>D38/95000</f>
        <v>5.7868421052631582</v>
      </c>
      <c r="E43" s="54"/>
      <c r="F43" s="55" t="s">
        <v>41</v>
      </c>
      <c r="G43" s="56">
        <f>G38/95000</f>
        <v>40.073684210526316</v>
      </c>
    </row>
    <row r="44" spans="2:7">
      <c r="C44" s="57"/>
    </row>
    <row r="45" spans="2:7">
      <c r="C45" s="57"/>
    </row>
    <row r="46" spans="2:7">
      <c r="C46" s="57"/>
    </row>
  </sheetData>
  <sheetProtection algorithmName="SHA-512" hashValue="1+5YKP2KUkIW/7joIxcRQnnDFALMngXtCbiYNoiahrYgYJelUnA1Ek/2/jXW0oQ641v/k4w+Uq0pGg87OuxbCQ==" saltValue="swrC8rmijsUK8cbHCj8q7Q==" spinCount="100000" sheet="1" objects="1" scenarios="1"/>
  <mergeCells count="5">
    <mergeCell ref="B1:D1"/>
    <mergeCell ref="B5:B8"/>
    <mergeCell ref="B9:B12"/>
    <mergeCell ref="B13:B16"/>
    <mergeCell ref="B17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Interactive Model</vt:lpstr>
      <vt:lpstr>Carlanco Case Study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Jennings</dc:creator>
  <cp:keywords/>
  <dc:description/>
  <cp:lastModifiedBy>Laura Jennings</cp:lastModifiedBy>
  <cp:revision/>
  <dcterms:created xsi:type="dcterms:W3CDTF">2025-05-01T01:35:26Z</dcterms:created>
  <dcterms:modified xsi:type="dcterms:W3CDTF">2025-05-08T17:34:44Z</dcterms:modified>
  <cp:category/>
  <cp:contentStatus/>
</cp:coreProperties>
</file>